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450" windowHeight="4755" activeTab="0"/>
  </bookViews>
  <sheets>
    <sheet name="прилож.2" sheetId="1" r:id="rId1"/>
    <sheet name="прилож.3" sheetId="2" r:id="rId2"/>
  </sheets>
  <definedNames>
    <definedName name="_xlnm.Print_Area" localSheetId="0">'прилож.2'!$A$1:$P$38</definedName>
    <definedName name="_xlnm.Print_Area" localSheetId="1">'прилож.3'!$A$1:$P$38</definedName>
  </definedNames>
  <calcPr fullCalcOnLoad="1"/>
</workbook>
</file>

<file path=xl/sharedStrings.xml><?xml version="1.0" encoding="utf-8"?>
<sst xmlns="http://schemas.openxmlformats.org/spreadsheetml/2006/main" count="93" uniqueCount="43">
  <si>
    <t>0100</t>
  </si>
  <si>
    <t>0300</t>
  </si>
  <si>
    <t>0400</t>
  </si>
  <si>
    <t>0500</t>
  </si>
  <si>
    <t>0700</t>
  </si>
  <si>
    <t>0800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</si>
  <si>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</si>
  <si>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</si>
  <si>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</si>
  <si>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</si>
  <si>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</si>
  <si>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</si>
  <si>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</si>
  <si>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</si>
  <si>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</si>
  <si>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</si>
  <si>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</si>
  <si>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</si>
  <si>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</si>
  <si>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 xml:space="preserve"> </t>
  </si>
  <si>
    <t xml:space="preserve">Раз-дел 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</si>
  <si>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</si>
  <si>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</si>
  <si>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</si>
  <si>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</si>
  <si>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</si>
  <si>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</si>
  <si>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</si>
  <si>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</si>
  <si>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Соц. политика</t>
  </si>
  <si>
    <t>АНАЛИЗ ДИНАМИКИ РАСХОДНОЙ ЧАСТИ БЮДЖЕТА  Старопольского сельского поселения</t>
  </si>
  <si>
    <t>Общегос. вопросы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</si>
  <si>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Старопольского сельского поселения</t>
    </r>
  </si>
  <si>
    <t>2020 ГОД</t>
  </si>
  <si>
    <t xml:space="preserve">Собственные полномочия </t>
  </si>
  <si>
    <t>Собственные полномочия</t>
  </si>
  <si>
    <t>2020 год</t>
  </si>
  <si>
    <t xml:space="preserve">за счет налоговых, неналоговых доходов  и  дотации </t>
  </si>
  <si>
    <t xml:space="preserve"> за счет целевых межбюджетных трансфертов</t>
  </si>
  <si>
    <t>по отраслевому признаку (проект на 2021 год к бюджету 2020 года по состоянию на 01.10.2020 г.)</t>
  </si>
  <si>
    <t>2021 ГОД</t>
  </si>
  <si>
    <t>2021 год</t>
  </si>
  <si>
    <r>
      <t xml:space="preserve">по отраслевому признаку (проект на 2021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2020 год)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</si>
</sst>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0.000"/>
    <numFmt numFmtId="176" formatCode="#,##0.000"/>
    <numFmt numFmtId="177" formatCode="#,##0.0000"/>
    <numFmt numFmtId="178" formatCode="0.00000"/>
    <numFmt numFmtId="179" formatCode="0.0000"/>
    <numFmt numFmtId="180" formatCode="0.000000"/>
    <numFmt numFmtId="181" formatCode="[$-FC19]d\ mmmm\ yyyy\ &quot;г.&quot;"/>
    <numFmt numFmtId="182" formatCode="_-* #,##0.0&quot;р.&quot;_-;\-* #,##0.0&quot;р.&quot;_-;_-* &quot;-&quot;?&quot;р.&quot;_-;_-@_-"/>
    <numFmt numFmtId="183" formatCode="_-* #,##0.0_р_._-;\-* #,##0.0_р_._-;_-* &quot;-&quot;??_р_._-;_-@_-"/>
    <numFmt numFmtId="184" formatCode="0.0%"/>
    <numFmt numFmtId="185" formatCode="000000"/>
    <numFmt numFmtId="186" formatCode="#,##0.0_р_."/>
    <numFmt numFmtId="187" formatCode="_-* #,##0.0\ _₽_-;\-* #,##0.0\ _₽_-;_-* &quot;-&quot;?\ _₽_-;_-@_-"/>
  </numFmts>
  <fonts count="4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172" fontId="0" fillId="0" borderId="13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83" fontId="0" fillId="0" borderId="15" xfId="0" applyNumberFormat="1" applyFont="1" applyBorder="1" applyAlignment="1">
      <alignment horizontal="right" vertical="distributed"/>
    </xf>
    <xf numFmtId="172" fontId="0" fillId="0" borderId="15" xfId="0" applyNumberFormat="1" applyFont="1" applyBorder="1" applyAlignment="1">
      <alignment/>
    </xf>
    <xf numFmtId="183" fontId="45" fillId="0" borderId="15" xfId="0" applyNumberFormat="1" applyFont="1" applyBorder="1" applyAlignment="1">
      <alignment horizontal="right" vertical="distributed"/>
    </xf>
    <xf numFmtId="0" fontId="3" fillId="0" borderId="15" xfId="0" applyFont="1" applyBorder="1" applyAlignment="1">
      <alignment wrapText="1"/>
    </xf>
    <xf numFmtId="183" fontId="45" fillId="32" borderId="15" xfId="0" applyNumberFormat="1" applyFont="1" applyFill="1" applyBorder="1" applyAlignment="1">
      <alignment horizontal="right" vertical="distributed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83" fontId="0" fillId="0" borderId="17" xfId="0" applyNumberFormat="1" applyFont="1" applyBorder="1" applyAlignment="1">
      <alignment horizontal="right" vertical="distributed"/>
    </xf>
    <xf numFmtId="172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83" fontId="0" fillId="0" borderId="20" xfId="0" applyNumberFormat="1" applyFont="1" applyBorder="1" applyAlignment="1">
      <alignment horizontal="right" vertical="distributed"/>
    </xf>
    <xf numFmtId="17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 horizontal="right" vertical="distributed"/>
    </xf>
    <xf numFmtId="172" fontId="0" fillId="0" borderId="21" xfId="0" applyNumberFormat="1" applyFont="1" applyBorder="1" applyAlignment="1">
      <alignment/>
    </xf>
    <xf numFmtId="183" fontId="0" fillId="0" borderId="22" xfId="0" applyNumberFormat="1" applyFont="1" applyBorder="1" applyAlignment="1">
      <alignment horizontal="right" vertical="distributed"/>
    </xf>
    <xf numFmtId="172" fontId="0" fillId="0" borderId="22" xfId="0" applyNumberFormat="1" applyFont="1" applyBorder="1" applyAlignment="1">
      <alignment/>
    </xf>
    <xf numFmtId="183" fontId="0" fillId="32" borderId="15" xfId="0" applyNumberFormat="1" applyFont="1" applyFill="1" applyBorder="1" applyAlignment="1">
      <alignment horizontal="right" vertical="distributed"/>
    </xf>
    <xf numFmtId="183" fontId="0" fillId="0" borderId="22" xfId="0" applyNumberFormat="1" applyFont="1" applyFill="1" applyBorder="1" applyAlignment="1">
      <alignment horizontal="right" vertical="distributed"/>
    </xf>
    <xf numFmtId="183" fontId="45" fillId="0" borderId="15" xfId="0" applyNumberFormat="1" applyFont="1" applyFill="1" applyBorder="1" applyAlignment="1">
      <alignment horizontal="right" vertical="distributed"/>
    </xf>
    <xf numFmtId="183" fontId="45" fillId="32" borderId="20" xfId="0" applyNumberFormat="1" applyFont="1" applyFill="1" applyBorder="1" applyAlignment="1">
      <alignment horizontal="right" vertical="distributed"/>
    </xf>
    <xf numFmtId="183" fontId="45" fillId="0" borderId="20" xfId="0" applyNumberFormat="1" applyFont="1" applyBorder="1" applyAlignment="1">
      <alignment horizontal="right" vertical="distributed"/>
    </xf>
    <xf numFmtId="0" fontId="0" fillId="0" borderId="23" xfId="0" applyFont="1" applyBorder="1" applyAlignment="1">
      <alignment horizontal="center"/>
    </xf>
    <xf numFmtId="0" fontId="3" fillId="0" borderId="12" xfId="0" applyFont="1" applyBorder="1" applyAlignment="1">
      <alignment/>
    </xf>
    <xf numFmtId="183" fontId="0" fillId="0" borderId="12" xfId="0" applyNumberFormat="1" applyFont="1" applyBorder="1" applyAlignment="1">
      <alignment horizontal="right" vertical="distributed"/>
    </xf>
    <xf numFmtId="183" fontId="45" fillId="0" borderId="12" xfId="0" applyNumberFormat="1" applyFont="1" applyBorder="1" applyAlignment="1">
      <alignment horizontal="right" vertical="distributed"/>
    </xf>
    <xf numFmtId="183" fontId="45" fillId="0" borderId="12" xfId="0" applyNumberFormat="1" applyFont="1" applyFill="1" applyBorder="1" applyAlignment="1">
      <alignment horizontal="right" vertical="distributed"/>
    </xf>
    <xf numFmtId="172" fontId="0" fillId="0" borderId="12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83" fontId="0" fillId="0" borderId="26" xfId="0" applyNumberFormat="1" applyFont="1" applyBorder="1" applyAlignment="1">
      <alignment horizontal="right" vertical="distributed"/>
    </xf>
    <xf numFmtId="183" fontId="0" fillId="0" borderId="26" xfId="0" applyNumberFormat="1" applyFont="1" applyFill="1" applyBorder="1" applyAlignment="1">
      <alignment horizontal="right" vertical="distributed"/>
    </xf>
    <xf numFmtId="172" fontId="0" fillId="0" borderId="26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2" fontId="0" fillId="0" borderId="33" xfId="0" applyNumberFormat="1" applyFont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Старопольского сельского поселения на 2021 год по отраслям</a:t>
            </a:r>
          </a:p>
        </c:rich>
      </c:tx>
      <c:layout>
        <c:manualLayout>
          <c:xMode val="factor"/>
          <c:yMode val="factor"/>
          <c:x val="0.055"/>
          <c:y val="-0.038"/>
        </c:manualLayout>
      </c:layout>
      <c:spPr>
        <a:noFill/>
        <a:ln>
          <a:noFill/>
        </a:ln>
      </c:spPr>
    </c:title>
    <c:view3D>
      <c:rotX val="1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2325"/>
          <c:y val="0.33925"/>
          <c:w val="0.492"/>
          <c:h val="0.2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Нац.экономика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14,6%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'прилож.2'!$J$9:$J$18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Старопольского сельского поселения на 2020 год по отраслям</a:t>
            </a:r>
          </a:p>
        </c:rich>
      </c:tx>
      <c:layout>
        <c:manualLayout>
          <c:xMode val="factor"/>
          <c:yMode val="factor"/>
          <c:x val="0.066"/>
          <c:y val="-0.02425"/>
        </c:manualLayout>
      </c:layout>
      <c:spPr>
        <a:noFill/>
        <a:ln>
          <a:noFill/>
        </a:ln>
      </c:spPr>
    </c:title>
    <c:view3D>
      <c:rotX val="1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94"/>
          <c:y val="0.393"/>
          <c:w val="0.4915"/>
          <c:h val="0.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Культура 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'прилож.2'!$F$9:$F$18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Старопольского сельского поселения на 2021 год по отраслям</a:t>
            </a:r>
          </a:p>
        </c:rich>
      </c:tx>
      <c:layout>
        <c:manualLayout>
          <c:xMode val="factor"/>
          <c:yMode val="factor"/>
          <c:x val="0.012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05"/>
          <c:y val="0.29925"/>
          <c:w val="0.67025"/>
          <c:h val="0.33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explosion val="1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'прилож.3'!$P$9:$P$18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Старопольского сельского поселения на 2020 год по отраслям</a:t>
            </a:r>
          </a:p>
        </c:rich>
      </c:tx>
      <c:layout>
        <c:manualLayout>
          <c:xMode val="factor"/>
          <c:yMode val="factor"/>
          <c:x val="0.00325"/>
          <c:y val="-0.01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855"/>
          <c:y val="0.34825"/>
          <c:w val="0.63975"/>
          <c:h val="0.30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'прилож.3'!$O$9:$O$18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20</xdr:row>
      <xdr:rowOff>19050</xdr:rowOff>
    </xdr:from>
    <xdr:to>
      <xdr:col>15</xdr:col>
      <xdr:colOff>666750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7029450" y="4657725"/>
        <a:ext cx="68199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19050</xdr:rowOff>
    </xdr:from>
    <xdr:to>
      <xdr:col>7</xdr:col>
      <xdr:colOff>495300</xdr:colOff>
      <xdr:row>37</xdr:row>
      <xdr:rowOff>114300</xdr:rowOff>
    </xdr:to>
    <xdr:graphicFrame>
      <xdr:nvGraphicFramePr>
        <xdr:cNvPr id="2" name="Диаграмма 9"/>
        <xdr:cNvGraphicFramePr/>
      </xdr:nvGraphicFramePr>
      <xdr:xfrm>
        <a:off x="171450" y="4657725"/>
        <a:ext cx="66770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20</xdr:row>
      <xdr:rowOff>57150</xdr:rowOff>
    </xdr:from>
    <xdr:to>
      <xdr:col>15</xdr:col>
      <xdr:colOff>590550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6877050" y="4543425"/>
        <a:ext cx="6953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171450</xdr:colOff>
      <xdr:row>20</xdr:row>
      <xdr:rowOff>57150</xdr:rowOff>
    </xdr:from>
    <xdr:to>
      <xdr:col>7</xdr:col>
      <xdr:colOff>314325</xdr:colOff>
      <xdr:row>37</xdr:row>
      <xdr:rowOff>114300</xdr:rowOff>
    </xdr:to>
    <xdr:graphicFrame>
      <xdr:nvGraphicFramePr>
        <xdr:cNvPr id="2" name="Диаграмма 12"/>
        <xdr:cNvGraphicFramePr/>
      </xdr:nvGraphicFramePr>
      <xdr:xfrm>
        <a:off x="171450" y="4543425"/>
        <a:ext cx="66484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Normal="101" zoomScaleSheetLayoutView="100" workbookViewId="0" topLeftCell="A4">
      <selection activeCell="D16" sqref="D16"/>
    </sheetView>
  </sheetViews>
  <sheetFormatPr defaultColWidth="8.875" defaultRowHeight="12.75"/>
  <cols>
    <col min="1" max="1" width="5.75390625" style="2" customWidth="1"/>
    <col min="2" max="2" width="20.75390625" style="2" customWidth="1"/>
    <col min="3" max="4" width="12.00390625" style="2" customWidth="1"/>
    <col min="5" max="6" width="10.25390625" style="2" customWidth="1"/>
    <col min="7" max="8" width="12.375" style="2" customWidth="1"/>
    <col min="9" max="10" width="10.25390625" style="2" customWidth="1"/>
    <col min="11" max="12" width="12.75390625" style="2" customWidth="1"/>
    <col min="13" max="14" width="10.25390625" style="2" customWidth="1"/>
    <col min="15" max="15" width="10.75390625" style="3" customWidth="1"/>
    <col min="16" max="16" width="10.25390625" style="3" customWidth="1"/>
    <col min="17" max="17" width="10.25390625" style="2" customWidth="1"/>
    <col min="18" max="19" width="8.875" style="2" hidden="1" customWidth="1"/>
    <col min="20" max="16384" width="8.875" style="2" customWidth="1"/>
  </cols>
  <sheetData>
    <row r="1" spans="1:16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9" t="s">
        <v>25</v>
      </c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1" t="s">
        <v>26</v>
      </c>
    </row>
    <row r="3" spans="1:17" ht="12.75" customHeight="1">
      <c r="A3" s="7"/>
      <c r="B3" s="68" t="s">
        <v>32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0"/>
      <c r="O3" s="10"/>
      <c r="P3" s="10"/>
      <c r="Q3" s="4"/>
    </row>
    <row r="4" spans="1:17" ht="12.75" customHeight="1">
      <c r="A4" s="7"/>
      <c r="B4" s="68" t="s">
        <v>39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0"/>
      <c r="O4" s="10"/>
      <c r="P4" s="10"/>
      <c r="Q4" s="4"/>
    </row>
    <row r="5" spans="1:16" ht="13.5" thickBot="1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</row>
    <row r="6" spans="3:16" ht="24.75" customHeight="1" thickBot="1">
      <c r="C6" s="69" t="s">
        <v>33</v>
      </c>
      <c r="D6" s="70"/>
      <c r="E6" s="70"/>
      <c r="F6" s="71"/>
      <c r="G6" s="69" t="s">
        <v>40</v>
      </c>
      <c r="H6" s="70"/>
      <c r="I6" s="70"/>
      <c r="J6" s="71"/>
      <c r="K6" s="69" t="s">
        <v>18</v>
      </c>
      <c r="L6" s="70"/>
      <c r="M6" s="70"/>
      <c r="N6" s="70"/>
      <c r="O6" s="64" t="s">
        <v>28</v>
      </c>
      <c r="P6" s="65"/>
    </row>
    <row r="7" spans="1:16" ht="36.75" customHeight="1">
      <c r="A7" s="72" t="s">
        <v>20</v>
      </c>
      <c r="B7" s="60" t="s">
        <v>9</v>
      </c>
      <c r="C7" s="74" t="s">
        <v>34</v>
      </c>
      <c r="D7" s="60"/>
      <c r="E7" s="60" t="s">
        <v>21</v>
      </c>
      <c r="F7" s="60" t="s">
        <v>17</v>
      </c>
      <c r="G7" s="60" t="s">
        <v>35</v>
      </c>
      <c r="H7" s="60"/>
      <c r="I7" s="60" t="s">
        <v>21</v>
      </c>
      <c r="J7" s="55" t="s">
        <v>17</v>
      </c>
      <c r="K7" s="62" t="s">
        <v>35</v>
      </c>
      <c r="L7" s="63"/>
      <c r="M7" s="55" t="s">
        <v>21</v>
      </c>
      <c r="N7" s="55" t="s">
        <v>17</v>
      </c>
      <c r="O7" s="57" t="s">
        <v>36</v>
      </c>
      <c r="P7" s="58" t="s">
        <v>41</v>
      </c>
    </row>
    <row r="8" spans="1:16" ht="64.5" thickBot="1">
      <c r="A8" s="73"/>
      <c r="B8" s="61"/>
      <c r="C8" s="13" t="s">
        <v>37</v>
      </c>
      <c r="D8" s="13" t="s">
        <v>38</v>
      </c>
      <c r="E8" s="61"/>
      <c r="F8" s="61"/>
      <c r="G8" s="13" t="s">
        <v>37</v>
      </c>
      <c r="H8" s="13" t="s">
        <v>38</v>
      </c>
      <c r="I8" s="61"/>
      <c r="J8" s="56"/>
      <c r="K8" s="13" t="s">
        <v>37</v>
      </c>
      <c r="L8" s="13" t="s">
        <v>38</v>
      </c>
      <c r="M8" s="56"/>
      <c r="N8" s="56"/>
      <c r="O8" s="56"/>
      <c r="P8" s="59"/>
    </row>
    <row r="9" spans="1:16" ht="12.75">
      <c r="A9" s="22" t="s">
        <v>0</v>
      </c>
      <c r="B9" s="23" t="s">
        <v>10</v>
      </c>
      <c r="C9" s="24">
        <f>8075.8-D9-E9</f>
        <v>8007.8</v>
      </c>
      <c r="D9" s="24">
        <v>64.5</v>
      </c>
      <c r="E9" s="24">
        <v>3.5</v>
      </c>
      <c r="F9" s="24">
        <f>C9+E9+D9</f>
        <v>8075.8</v>
      </c>
      <c r="G9" s="24">
        <f>7955-H9-I9</f>
        <v>7951.5</v>
      </c>
      <c r="H9" s="24">
        <v>0</v>
      </c>
      <c r="I9" s="24">
        <v>3.5</v>
      </c>
      <c r="J9" s="24">
        <f>I9+H9+G9</f>
        <v>7955</v>
      </c>
      <c r="K9" s="24">
        <f aca="true" t="shared" si="0" ref="K9:K18">G9/C9*100</f>
        <v>99.29693548789929</v>
      </c>
      <c r="L9" s="24">
        <f aca="true" t="shared" si="1" ref="L9:N18">H9/D9*100</f>
        <v>0</v>
      </c>
      <c r="M9" s="24">
        <f t="shared" si="1"/>
        <v>100</v>
      </c>
      <c r="N9" s="24">
        <f t="shared" si="1"/>
        <v>98.5041729611927</v>
      </c>
      <c r="O9" s="25">
        <f aca="true" t="shared" si="2" ref="O9:O18">F9/$F$20*100</f>
        <v>21.99651359154546</v>
      </c>
      <c r="P9" s="14">
        <f aca="true" t="shared" si="3" ref="P9:P18">J9/$J$20*100</f>
        <v>21.193439757880604</v>
      </c>
    </row>
    <row r="10" spans="1:16" ht="12.75">
      <c r="A10" s="26" t="s">
        <v>8</v>
      </c>
      <c r="B10" s="16" t="s">
        <v>11</v>
      </c>
      <c r="C10" s="17">
        <f>267.2-D10-E10</f>
        <v>0</v>
      </c>
      <c r="D10" s="17">
        <v>0</v>
      </c>
      <c r="E10" s="17">
        <v>267.2</v>
      </c>
      <c r="F10" s="17">
        <f aca="true" t="shared" si="4" ref="F10:F18">C10+E10+D10</f>
        <v>267.2</v>
      </c>
      <c r="G10" s="17">
        <f>271.6-I10</f>
        <v>0</v>
      </c>
      <c r="H10" s="17">
        <v>0</v>
      </c>
      <c r="I10" s="17">
        <v>271.6</v>
      </c>
      <c r="J10" s="17">
        <f aca="true" t="shared" si="5" ref="J10:J18">I10+H10+G10</f>
        <v>271.6</v>
      </c>
      <c r="K10" s="19" t="e">
        <f t="shared" si="0"/>
        <v>#DIV/0!</v>
      </c>
      <c r="L10" s="19" t="e">
        <f t="shared" si="1"/>
        <v>#DIV/0!</v>
      </c>
      <c r="M10" s="17">
        <f t="shared" si="1"/>
        <v>101.64670658682635</v>
      </c>
      <c r="N10" s="17">
        <f t="shared" si="1"/>
        <v>101.64670658682635</v>
      </c>
      <c r="O10" s="18">
        <f t="shared" si="2"/>
        <v>0.7277877648853298</v>
      </c>
      <c r="P10" s="11">
        <f t="shared" si="3"/>
        <v>0.7235874592382618</v>
      </c>
    </row>
    <row r="11" spans="1:16" ht="22.5">
      <c r="A11" s="27" t="s">
        <v>1</v>
      </c>
      <c r="B11" s="20" t="s">
        <v>23</v>
      </c>
      <c r="C11" s="17">
        <f>253.4-D11-E11</f>
        <v>253.4</v>
      </c>
      <c r="D11" s="17">
        <v>0</v>
      </c>
      <c r="E11" s="17">
        <v>0</v>
      </c>
      <c r="F11" s="17">
        <f t="shared" si="4"/>
        <v>253.4</v>
      </c>
      <c r="G11" s="17">
        <v>33.2</v>
      </c>
      <c r="H11" s="17">
        <v>0</v>
      </c>
      <c r="I11" s="17">
        <v>0</v>
      </c>
      <c r="J11" s="17">
        <f t="shared" si="5"/>
        <v>33.2</v>
      </c>
      <c r="K11" s="17">
        <f t="shared" si="0"/>
        <v>13.101815311760065</v>
      </c>
      <c r="L11" s="19" t="e">
        <f t="shared" si="1"/>
        <v>#DIV/0!</v>
      </c>
      <c r="M11" s="21" t="e">
        <f t="shared" si="1"/>
        <v>#DIV/0!</v>
      </c>
      <c r="N11" s="17">
        <f t="shared" si="1"/>
        <v>13.101815311760065</v>
      </c>
      <c r="O11" s="18">
        <f t="shared" si="2"/>
        <v>0.6901999237348151</v>
      </c>
      <c r="P11" s="11">
        <f t="shared" si="3"/>
        <v>0.0884503079775784</v>
      </c>
    </row>
    <row r="12" spans="1:16" ht="12.75">
      <c r="A12" s="27" t="s">
        <v>2</v>
      </c>
      <c r="B12" s="16" t="s">
        <v>12</v>
      </c>
      <c r="C12" s="17">
        <f>7666.1-D12-E12</f>
        <v>2747.1000000000004</v>
      </c>
      <c r="D12" s="17">
        <f>4919</f>
        <v>4919</v>
      </c>
      <c r="E12" s="17">
        <v>0</v>
      </c>
      <c r="F12" s="17">
        <f t="shared" si="4"/>
        <v>7666.1</v>
      </c>
      <c r="G12" s="17">
        <f>5464.8-H12</f>
        <v>2964.8</v>
      </c>
      <c r="H12" s="17">
        <v>2500</v>
      </c>
      <c r="I12" s="17">
        <v>0</v>
      </c>
      <c r="J12" s="17">
        <f t="shared" si="5"/>
        <v>5464.8</v>
      </c>
      <c r="K12" s="17">
        <f t="shared" si="0"/>
        <v>107.92472061446617</v>
      </c>
      <c r="L12" s="17">
        <f t="shared" si="1"/>
        <v>50.823338076844884</v>
      </c>
      <c r="M12" s="21" t="e">
        <f t="shared" si="1"/>
        <v>#DIV/0!</v>
      </c>
      <c r="N12" s="17">
        <f t="shared" si="1"/>
        <v>71.2852689111804</v>
      </c>
      <c r="O12" s="18">
        <f t="shared" si="2"/>
        <v>20.88059051043199</v>
      </c>
      <c r="P12" s="11">
        <f t="shared" si="3"/>
        <v>14.559133826381638</v>
      </c>
    </row>
    <row r="13" spans="1:16" ht="12.75">
      <c r="A13" s="27" t="s">
        <v>3</v>
      </c>
      <c r="B13" s="16" t="s">
        <v>13</v>
      </c>
      <c r="C13" s="17">
        <f>6372-D13-E13</f>
        <v>3622</v>
      </c>
      <c r="D13" s="17">
        <f>2667.1+82.9</f>
        <v>2750</v>
      </c>
      <c r="E13" s="17">
        <v>0</v>
      </c>
      <c r="F13" s="17">
        <f t="shared" si="4"/>
        <v>6372</v>
      </c>
      <c r="G13" s="17">
        <f>10749.7-H13</f>
        <v>5204.6</v>
      </c>
      <c r="H13" s="17">
        <v>5545.1</v>
      </c>
      <c r="I13" s="17">
        <v>0</v>
      </c>
      <c r="J13" s="17">
        <f t="shared" si="5"/>
        <v>10749.7</v>
      </c>
      <c r="K13" s="17">
        <f t="shared" si="0"/>
        <v>143.69409166206518</v>
      </c>
      <c r="L13" s="17">
        <f t="shared" si="1"/>
        <v>201.64</v>
      </c>
      <c r="M13" s="21" t="e">
        <f t="shared" si="1"/>
        <v>#DIV/0!</v>
      </c>
      <c r="N13" s="17">
        <f t="shared" si="1"/>
        <v>168.70213433772756</v>
      </c>
      <c r="O13" s="18">
        <f t="shared" si="2"/>
        <v>17.35577708775944</v>
      </c>
      <c r="P13" s="11">
        <f t="shared" si="3"/>
        <v>28.63898420682453</v>
      </c>
    </row>
    <row r="14" spans="1:16" ht="12.75">
      <c r="A14" s="27" t="s">
        <v>4</v>
      </c>
      <c r="B14" s="16" t="s">
        <v>15</v>
      </c>
      <c r="C14" s="17">
        <f>229.8-D14-E14</f>
        <v>119.50000000000001</v>
      </c>
      <c r="D14" s="17">
        <v>110.3</v>
      </c>
      <c r="E14" s="17">
        <v>0</v>
      </c>
      <c r="F14" s="17">
        <f t="shared" si="4"/>
        <v>229.8</v>
      </c>
      <c r="G14" s="17">
        <f>337.4-H14</f>
        <v>180.29999999999998</v>
      </c>
      <c r="H14" s="17">
        <v>157.1</v>
      </c>
      <c r="I14" s="17">
        <v>0</v>
      </c>
      <c r="J14" s="17">
        <f t="shared" si="5"/>
        <v>337.4</v>
      </c>
      <c r="K14" s="17">
        <f t="shared" si="0"/>
        <v>150.87866108786608</v>
      </c>
      <c r="L14" s="17">
        <f t="shared" si="1"/>
        <v>142.42973708068902</v>
      </c>
      <c r="M14" s="21" t="e">
        <f t="shared" si="1"/>
        <v>#DIV/0!</v>
      </c>
      <c r="N14" s="17">
        <f t="shared" si="1"/>
        <v>146.82332463011312</v>
      </c>
      <c r="O14" s="18">
        <f t="shared" si="2"/>
        <v>0.6259192678542246</v>
      </c>
      <c r="P14" s="11">
        <f t="shared" si="3"/>
        <v>0.898889575651655</v>
      </c>
    </row>
    <row r="15" spans="1:16" ht="12.75">
      <c r="A15" s="27" t="s">
        <v>5</v>
      </c>
      <c r="B15" s="16" t="s">
        <v>14</v>
      </c>
      <c r="C15" s="17">
        <f>13389.6-D15-E15</f>
        <v>8772.1</v>
      </c>
      <c r="D15" s="17">
        <f>1840.8+14.5+1421.4+1340.8</f>
        <v>4617.5</v>
      </c>
      <c r="E15" s="17">
        <v>0</v>
      </c>
      <c r="F15" s="17">
        <f t="shared" si="4"/>
        <v>13389.6</v>
      </c>
      <c r="G15" s="17">
        <f>12301.8-H15</f>
        <v>7631.699999999999</v>
      </c>
      <c r="H15" s="17">
        <f>1956.3+2713.8</f>
        <v>4670.1</v>
      </c>
      <c r="I15" s="17">
        <v>0</v>
      </c>
      <c r="J15" s="17">
        <f t="shared" si="5"/>
        <v>12301.8</v>
      </c>
      <c r="K15" s="17">
        <f t="shared" si="0"/>
        <v>86.99969220597119</v>
      </c>
      <c r="L15" s="17">
        <f t="shared" si="1"/>
        <v>101.13914455874391</v>
      </c>
      <c r="M15" s="21" t="e">
        <f t="shared" si="1"/>
        <v>#DIV/0!</v>
      </c>
      <c r="N15" s="17">
        <f t="shared" si="1"/>
        <v>91.87578419071517</v>
      </c>
      <c r="O15" s="18">
        <f t="shared" si="2"/>
        <v>36.47001143977774</v>
      </c>
      <c r="P15" s="11">
        <f t="shared" si="3"/>
        <v>32.774036104776314</v>
      </c>
    </row>
    <row r="16" spans="1:16" ht="12.75">
      <c r="A16" s="27" t="s">
        <v>6</v>
      </c>
      <c r="B16" s="16" t="s">
        <v>16</v>
      </c>
      <c r="C16" s="17">
        <f>415.2-D16-E16</f>
        <v>415.2</v>
      </c>
      <c r="D16" s="17">
        <v>0</v>
      </c>
      <c r="E16" s="17">
        <v>0</v>
      </c>
      <c r="F16" s="17">
        <f t="shared" si="4"/>
        <v>415.2</v>
      </c>
      <c r="G16" s="17">
        <v>420.7</v>
      </c>
      <c r="H16" s="17"/>
      <c r="I16" s="17">
        <v>0</v>
      </c>
      <c r="J16" s="17">
        <f t="shared" si="5"/>
        <v>420.7</v>
      </c>
      <c r="K16" s="17">
        <f t="shared" si="0"/>
        <v>101.32466281310212</v>
      </c>
      <c r="L16" s="19" t="e">
        <f t="shared" si="1"/>
        <v>#DIV/0!</v>
      </c>
      <c r="M16" s="21" t="e">
        <f t="shared" si="1"/>
        <v>#DIV/0!</v>
      </c>
      <c r="N16" s="17">
        <f t="shared" si="1"/>
        <v>101.32466281310212</v>
      </c>
      <c r="O16" s="18">
        <f t="shared" si="2"/>
        <v>1.1309037424415753</v>
      </c>
      <c r="P16" s="11">
        <f t="shared" si="3"/>
        <v>1.1208145953664828</v>
      </c>
    </row>
    <row r="17" spans="1:16" ht="22.5">
      <c r="A17" s="27">
        <v>1101</v>
      </c>
      <c r="B17" s="20" t="s">
        <v>24</v>
      </c>
      <c r="C17" s="17">
        <f>43.9-D17-E17</f>
        <v>43.9</v>
      </c>
      <c r="D17" s="17">
        <v>0</v>
      </c>
      <c r="E17" s="17">
        <v>0</v>
      </c>
      <c r="F17" s="17">
        <f t="shared" si="4"/>
        <v>43.9</v>
      </c>
      <c r="G17" s="17">
        <v>0</v>
      </c>
      <c r="H17" s="17">
        <v>0</v>
      </c>
      <c r="I17" s="17">
        <v>0</v>
      </c>
      <c r="J17" s="17">
        <f t="shared" si="5"/>
        <v>0</v>
      </c>
      <c r="K17" s="17">
        <f t="shared" si="0"/>
        <v>0</v>
      </c>
      <c r="L17" s="19" t="e">
        <f t="shared" si="1"/>
        <v>#DIV/0!</v>
      </c>
      <c r="M17" s="21" t="e">
        <f t="shared" si="1"/>
        <v>#DIV/0!</v>
      </c>
      <c r="N17" s="17">
        <f t="shared" si="1"/>
        <v>0</v>
      </c>
      <c r="O17" s="18">
        <f t="shared" si="2"/>
        <v>0.11957291496431878</v>
      </c>
      <c r="P17" s="11">
        <f t="shared" si="3"/>
        <v>0</v>
      </c>
    </row>
    <row r="18" spans="1:16" ht="13.5" thickBot="1">
      <c r="A18" s="28">
        <v>1300</v>
      </c>
      <c r="B18" s="29" t="s">
        <v>22</v>
      </c>
      <c r="C18" s="30">
        <f>1-D18-E18</f>
        <v>1</v>
      </c>
      <c r="D18" s="30">
        <v>0</v>
      </c>
      <c r="E18" s="30">
        <v>0</v>
      </c>
      <c r="F18" s="30">
        <f t="shared" si="4"/>
        <v>1</v>
      </c>
      <c r="G18" s="30">
        <v>1</v>
      </c>
      <c r="H18" s="30">
        <v>0</v>
      </c>
      <c r="I18" s="30">
        <v>0</v>
      </c>
      <c r="J18" s="30">
        <f t="shared" si="5"/>
        <v>1</v>
      </c>
      <c r="K18" s="30">
        <f t="shared" si="0"/>
        <v>100</v>
      </c>
      <c r="L18" s="41" t="e">
        <f t="shared" si="1"/>
        <v>#DIV/0!</v>
      </c>
      <c r="M18" s="40" t="e">
        <f t="shared" si="1"/>
        <v>#DIV/0!</v>
      </c>
      <c r="N18" s="30">
        <f t="shared" si="1"/>
        <v>100</v>
      </c>
      <c r="O18" s="31">
        <f t="shared" si="2"/>
        <v>0.0027237566051097673</v>
      </c>
      <c r="P18" s="15">
        <f t="shared" si="3"/>
        <v>0.002664165902939108</v>
      </c>
    </row>
    <row r="19" spans="1:16" ht="13.5" thickBot="1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4"/>
    </row>
    <row r="20" spans="1:16" ht="13.5" thickBot="1">
      <c r="A20" s="66" t="s">
        <v>7</v>
      </c>
      <c r="B20" s="67"/>
      <c r="C20" s="35">
        <f>SUM(C9:C18)</f>
        <v>23982.000000000004</v>
      </c>
      <c r="D20" s="35">
        <f aca="true" t="shared" si="6" ref="D20:J20">SUM(D9:D18)</f>
        <v>12461.3</v>
      </c>
      <c r="E20" s="35">
        <f t="shared" si="6"/>
        <v>270.7</v>
      </c>
      <c r="F20" s="35">
        <f t="shared" si="6"/>
        <v>36714</v>
      </c>
      <c r="G20" s="35">
        <f t="shared" si="6"/>
        <v>24387.8</v>
      </c>
      <c r="H20" s="35">
        <f t="shared" si="6"/>
        <v>12872.300000000001</v>
      </c>
      <c r="I20" s="35">
        <f t="shared" si="6"/>
        <v>275.1</v>
      </c>
      <c r="J20" s="35">
        <f t="shared" si="6"/>
        <v>37535.2</v>
      </c>
      <c r="K20" s="35">
        <f>G20/C20*100</f>
        <v>101.69210241014093</v>
      </c>
      <c r="L20" s="35">
        <f>H20/D20*100</f>
        <v>103.29821126206737</v>
      </c>
      <c r="M20" s="35">
        <f>I20/E20*100</f>
        <v>101.62541558921316</v>
      </c>
      <c r="N20" s="35">
        <f>J20/F20*100</f>
        <v>102.23674892411614</v>
      </c>
      <c r="O20" s="36">
        <f>F20/$F$20*100</f>
        <v>100</v>
      </c>
      <c r="P20" s="12">
        <f>J20/$J$20*100</f>
        <v>100</v>
      </c>
    </row>
    <row r="33" spans="1:6" ht="12.75">
      <c r="A33" s="5"/>
      <c r="B33" s="5"/>
      <c r="C33" s="6"/>
      <c r="D33" s="6"/>
      <c r="E33" s="6"/>
      <c r="F33" s="6"/>
    </row>
    <row r="34" spans="1:6" ht="12.75">
      <c r="A34" s="5"/>
      <c r="B34" s="5"/>
      <c r="C34" s="6"/>
      <c r="D34" s="6"/>
      <c r="E34" s="6"/>
      <c r="F34" s="6"/>
    </row>
  </sheetData>
  <sheetProtection/>
  <mergeCells count="20"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</mergeCells>
  <printOptions horizontalCentered="1"/>
  <pageMargins left="0.3937007874015748" right="0.3937007874015748" top="0.984251968503937" bottom="0.3937007874015748" header="0.7480314960629921" footer="0.511811023622047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SheetLayoutView="100" workbookViewId="0" topLeftCell="A1">
      <selection activeCell="J42" sqref="J42"/>
    </sheetView>
  </sheetViews>
  <sheetFormatPr defaultColWidth="9.00390625" defaultRowHeight="12.75"/>
  <cols>
    <col min="1" max="1" width="5.75390625" style="2" customWidth="1"/>
    <col min="2" max="2" width="22.375" style="2" customWidth="1"/>
    <col min="3" max="3" width="11.625" style="2" customWidth="1"/>
    <col min="4" max="4" width="12.125" style="2" customWidth="1"/>
    <col min="5" max="6" width="10.25390625" style="2" customWidth="1"/>
    <col min="7" max="8" width="13.00390625" style="2" customWidth="1"/>
    <col min="9" max="10" width="10.25390625" style="2" customWidth="1"/>
    <col min="11" max="12" width="12.625" style="2" customWidth="1"/>
    <col min="13" max="14" width="10.25390625" style="2" customWidth="1"/>
    <col min="15" max="16" width="9.125" style="3" customWidth="1"/>
    <col min="17" max="16384" width="9.125" style="2" customWidth="1"/>
  </cols>
  <sheetData>
    <row r="1" spans="1:16" ht="2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9" t="s">
        <v>27</v>
      </c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1" t="s">
        <v>26</v>
      </c>
    </row>
    <row r="3" spans="1:16" ht="12.75">
      <c r="A3" s="7"/>
      <c r="B3" s="68" t="s">
        <v>30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0"/>
      <c r="O3" s="8"/>
      <c r="P3" s="8"/>
    </row>
    <row r="4" spans="1:16" ht="12.75">
      <c r="A4" s="7"/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0"/>
      <c r="O4" s="8"/>
      <c r="P4" s="8"/>
    </row>
    <row r="5" spans="1:16" ht="13.5" thickBot="1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</row>
    <row r="6" spans="1:16" ht="24.75" customHeight="1" thickBot="1">
      <c r="A6" s="7"/>
      <c r="B6" s="7"/>
      <c r="C6" s="69" t="s">
        <v>33</v>
      </c>
      <c r="D6" s="70"/>
      <c r="E6" s="70"/>
      <c r="F6" s="71"/>
      <c r="G6" s="69" t="s">
        <v>40</v>
      </c>
      <c r="H6" s="70"/>
      <c r="I6" s="70"/>
      <c r="J6" s="71"/>
      <c r="K6" s="69" t="s">
        <v>18</v>
      </c>
      <c r="L6" s="70"/>
      <c r="M6" s="70"/>
      <c r="N6" s="70"/>
      <c r="O6" s="64" t="s">
        <v>28</v>
      </c>
      <c r="P6" s="65"/>
    </row>
    <row r="7" spans="1:16" ht="22.5" customHeight="1">
      <c r="A7" s="72" t="s">
        <v>20</v>
      </c>
      <c r="B7" s="60" t="s">
        <v>9</v>
      </c>
      <c r="C7" s="74" t="s">
        <v>34</v>
      </c>
      <c r="D7" s="60"/>
      <c r="E7" s="60" t="s">
        <v>21</v>
      </c>
      <c r="F7" s="60" t="s">
        <v>17</v>
      </c>
      <c r="G7" s="60" t="s">
        <v>35</v>
      </c>
      <c r="H7" s="60"/>
      <c r="I7" s="60" t="s">
        <v>21</v>
      </c>
      <c r="J7" s="55" t="s">
        <v>17</v>
      </c>
      <c r="K7" s="62" t="s">
        <v>35</v>
      </c>
      <c r="L7" s="63"/>
      <c r="M7" s="55" t="s">
        <v>21</v>
      </c>
      <c r="N7" s="55" t="s">
        <v>17</v>
      </c>
      <c r="O7" s="57" t="s">
        <v>36</v>
      </c>
      <c r="P7" s="58" t="s">
        <v>41</v>
      </c>
    </row>
    <row r="8" spans="1:16" ht="64.5" thickBot="1">
      <c r="A8" s="73"/>
      <c r="B8" s="61"/>
      <c r="C8" s="13" t="s">
        <v>37</v>
      </c>
      <c r="D8" s="13" t="s">
        <v>38</v>
      </c>
      <c r="E8" s="61"/>
      <c r="F8" s="61"/>
      <c r="G8" s="13" t="s">
        <v>37</v>
      </c>
      <c r="H8" s="13" t="s">
        <v>38</v>
      </c>
      <c r="I8" s="61"/>
      <c r="J8" s="56"/>
      <c r="K8" s="13" t="s">
        <v>37</v>
      </c>
      <c r="L8" s="13" t="s">
        <v>38</v>
      </c>
      <c r="M8" s="56"/>
      <c r="N8" s="56"/>
      <c r="O8" s="56"/>
      <c r="P8" s="59"/>
    </row>
    <row r="9" spans="1:16" ht="12.75">
      <c r="A9" s="22" t="s">
        <v>0</v>
      </c>
      <c r="B9" s="23" t="s">
        <v>31</v>
      </c>
      <c r="C9" s="24">
        <f>7497.9-D9-E9</f>
        <v>7494.4</v>
      </c>
      <c r="D9" s="24">
        <v>0</v>
      </c>
      <c r="E9" s="24">
        <v>3.5</v>
      </c>
      <c r="F9" s="24">
        <f>C9+E9+D9</f>
        <v>7497.9</v>
      </c>
      <c r="G9" s="24">
        <f>7955-H9-I9</f>
        <v>7951.5</v>
      </c>
      <c r="H9" s="24">
        <v>0</v>
      </c>
      <c r="I9" s="24">
        <v>3.5</v>
      </c>
      <c r="J9" s="24">
        <f>I9+H9+G9</f>
        <v>7955</v>
      </c>
      <c r="K9" s="24">
        <f>G9/C9*100</f>
        <v>106.09922075149444</v>
      </c>
      <c r="L9" s="19" t="e">
        <f aca="true" t="shared" si="0" ref="L9:N18">H9/D9*100</f>
        <v>#DIV/0!</v>
      </c>
      <c r="M9" s="24">
        <f t="shared" si="0"/>
        <v>100</v>
      </c>
      <c r="N9" s="24">
        <f t="shared" si="0"/>
        <v>106.09637365128903</v>
      </c>
      <c r="O9" s="25">
        <f aca="true" t="shared" si="1" ref="O9:O18">F9/$F$20*100</f>
        <v>29.366907151082177</v>
      </c>
      <c r="P9" s="14">
        <f aca="true" t="shared" si="2" ref="P9:P18">J9/$J$20*100</f>
        <v>21.193439757880604</v>
      </c>
    </row>
    <row r="10" spans="1:16" ht="12.75">
      <c r="A10" s="26" t="s">
        <v>8</v>
      </c>
      <c r="B10" s="16" t="s">
        <v>11</v>
      </c>
      <c r="C10" s="17">
        <f>281.4-E10</f>
        <v>0</v>
      </c>
      <c r="D10" s="17">
        <v>0</v>
      </c>
      <c r="E10" s="17">
        <v>281.4</v>
      </c>
      <c r="F10" s="17">
        <f aca="true" t="shared" si="3" ref="F10:F18">C10+E10+D10</f>
        <v>281.4</v>
      </c>
      <c r="G10" s="17">
        <f>271.6-I10</f>
        <v>0</v>
      </c>
      <c r="H10" s="17">
        <v>0</v>
      </c>
      <c r="I10" s="17">
        <v>271.6</v>
      </c>
      <c r="J10" s="17">
        <f aca="true" t="shared" si="4" ref="J10:J18">I10+H10+G10</f>
        <v>271.6</v>
      </c>
      <c r="K10" s="21" t="e">
        <f>G10/C10*100</f>
        <v>#DIV/0!</v>
      </c>
      <c r="L10" s="19" t="e">
        <f t="shared" si="0"/>
        <v>#DIV/0!</v>
      </c>
      <c r="M10" s="17">
        <f t="shared" si="0"/>
        <v>96.51741293532339</v>
      </c>
      <c r="N10" s="17">
        <f t="shared" si="0"/>
        <v>96.51741293532339</v>
      </c>
      <c r="O10" s="18">
        <f t="shared" si="1"/>
        <v>1.1021549596973186</v>
      </c>
      <c r="P10" s="11">
        <f t="shared" si="2"/>
        <v>0.7235874592382618</v>
      </c>
    </row>
    <row r="11" spans="1:16" ht="22.5">
      <c r="A11" s="27" t="s">
        <v>1</v>
      </c>
      <c r="B11" s="20" t="s">
        <v>23</v>
      </c>
      <c r="C11" s="17">
        <f>33.2-D11</f>
        <v>33.2</v>
      </c>
      <c r="D11" s="17">
        <v>0</v>
      </c>
      <c r="E11" s="17">
        <v>0</v>
      </c>
      <c r="F11" s="17">
        <f t="shared" si="3"/>
        <v>33.2</v>
      </c>
      <c r="G11" s="17">
        <v>33.2</v>
      </c>
      <c r="H11" s="17">
        <v>0</v>
      </c>
      <c r="I11" s="17">
        <v>0</v>
      </c>
      <c r="J11" s="17">
        <f t="shared" si="4"/>
        <v>33.2</v>
      </c>
      <c r="K11" s="17">
        <f aca="true" t="shared" si="5" ref="K11:K18">G11/C11*100</f>
        <v>100</v>
      </c>
      <c r="L11" s="19" t="e">
        <f t="shared" si="0"/>
        <v>#DIV/0!</v>
      </c>
      <c r="M11" s="39" t="e">
        <f t="shared" si="0"/>
        <v>#DIV/0!</v>
      </c>
      <c r="N11" s="17">
        <f t="shared" si="0"/>
        <v>100</v>
      </c>
      <c r="O11" s="18">
        <f t="shared" si="1"/>
        <v>0.13003391848596654</v>
      </c>
      <c r="P11" s="11">
        <f t="shared" si="2"/>
        <v>0.0884503079775784</v>
      </c>
    </row>
    <row r="12" spans="1:16" ht="12.75">
      <c r="A12" s="27" t="s">
        <v>2</v>
      </c>
      <c r="B12" s="16" t="s">
        <v>12</v>
      </c>
      <c r="C12" s="17">
        <f>2389.8-D12</f>
        <v>2389.8</v>
      </c>
      <c r="D12" s="17">
        <v>0</v>
      </c>
      <c r="E12" s="17">
        <v>0</v>
      </c>
      <c r="F12" s="17">
        <f t="shared" si="3"/>
        <v>2389.8</v>
      </c>
      <c r="G12" s="17">
        <f>5464.8-H12</f>
        <v>2964.8</v>
      </c>
      <c r="H12" s="17">
        <v>2500</v>
      </c>
      <c r="I12" s="17">
        <v>0</v>
      </c>
      <c r="J12" s="17">
        <f t="shared" si="4"/>
        <v>5464.8</v>
      </c>
      <c r="K12" s="17">
        <f t="shared" si="5"/>
        <v>124.06059084442214</v>
      </c>
      <c r="L12" s="19" t="e">
        <f t="shared" si="0"/>
        <v>#DIV/0!</v>
      </c>
      <c r="M12" s="39" t="e">
        <f t="shared" si="0"/>
        <v>#DIV/0!</v>
      </c>
      <c r="N12" s="17">
        <f t="shared" si="0"/>
        <v>228.6718553853879</v>
      </c>
      <c r="O12" s="18">
        <f t="shared" si="1"/>
        <v>9.360092120414542</v>
      </c>
      <c r="P12" s="11">
        <f t="shared" si="2"/>
        <v>14.559133826381638</v>
      </c>
    </row>
    <row r="13" spans="1:16" ht="12.75">
      <c r="A13" s="27" t="s">
        <v>3</v>
      </c>
      <c r="B13" s="16" t="s">
        <v>13</v>
      </c>
      <c r="C13" s="17">
        <f>4257.7-D13</f>
        <v>3189.2999999999997</v>
      </c>
      <c r="D13" s="17">
        <f>1068.4</f>
        <v>1068.4</v>
      </c>
      <c r="E13" s="17">
        <v>0</v>
      </c>
      <c r="F13" s="17">
        <f t="shared" si="3"/>
        <v>4257.7</v>
      </c>
      <c r="G13" s="17">
        <f>10749.7-H13</f>
        <v>5204.6</v>
      </c>
      <c r="H13" s="17">
        <v>5545.1</v>
      </c>
      <c r="I13" s="17">
        <v>0</v>
      </c>
      <c r="J13" s="17">
        <f t="shared" si="4"/>
        <v>10749.7</v>
      </c>
      <c r="K13" s="17">
        <f t="shared" si="5"/>
        <v>163.18941460508577</v>
      </c>
      <c r="L13" s="17">
        <f t="shared" si="0"/>
        <v>519.0097341819543</v>
      </c>
      <c r="M13" s="39" t="e">
        <f t="shared" si="0"/>
        <v>#DIV/0!</v>
      </c>
      <c r="N13" s="17">
        <f t="shared" si="0"/>
        <v>252.47668929234095</v>
      </c>
      <c r="O13" s="18">
        <f t="shared" si="1"/>
        <v>16.676066708966857</v>
      </c>
      <c r="P13" s="11">
        <f t="shared" si="2"/>
        <v>28.63898420682453</v>
      </c>
    </row>
    <row r="14" spans="1:16" ht="12.75">
      <c r="A14" s="27" t="s">
        <v>4</v>
      </c>
      <c r="B14" s="16" t="s">
        <v>15</v>
      </c>
      <c r="C14" s="17">
        <f>223.9-D14</f>
        <v>117.2</v>
      </c>
      <c r="D14" s="17">
        <v>106.7</v>
      </c>
      <c r="E14" s="17">
        <v>0</v>
      </c>
      <c r="F14" s="17">
        <f t="shared" si="3"/>
        <v>223.9</v>
      </c>
      <c r="G14" s="17">
        <f>337.4-H14</f>
        <v>180.29999999999998</v>
      </c>
      <c r="H14" s="17">
        <v>157.1</v>
      </c>
      <c r="I14" s="17">
        <v>0</v>
      </c>
      <c r="J14" s="17">
        <f t="shared" si="4"/>
        <v>337.4</v>
      </c>
      <c r="K14" s="17">
        <f t="shared" si="5"/>
        <v>153.83959044368598</v>
      </c>
      <c r="L14" s="17">
        <f t="shared" si="0"/>
        <v>147.2352389878163</v>
      </c>
      <c r="M14" s="39" t="e">
        <f t="shared" si="0"/>
        <v>#DIV/0!</v>
      </c>
      <c r="N14" s="17">
        <f t="shared" si="0"/>
        <v>150.69227333631085</v>
      </c>
      <c r="O14" s="18">
        <f t="shared" si="1"/>
        <v>0.8769456129219249</v>
      </c>
      <c r="P14" s="11">
        <f t="shared" si="2"/>
        <v>0.898889575651655</v>
      </c>
    </row>
    <row r="15" spans="1:16" ht="12.75">
      <c r="A15" s="27" t="s">
        <v>5</v>
      </c>
      <c r="B15" s="16" t="s">
        <v>14</v>
      </c>
      <c r="C15" s="17">
        <f>10289.3-D15</f>
        <v>7644.799999999999</v>
      </c>
      <c r="D15" s="17">
        <f>1355.3+1289.2</f>
        <v>2644.5</v>
      </c>
      <c r="E15" s="17">
        <v>0</v>
      </c>
      <c r="F15" s="17">
        <f t="shared" si="3"/>
        <v>10289.3</v>
      </c>
      <c r="G15" s="17">
        <f>12301.8-H15</f>
        <v>7631.699999999999</v>
      </c>
      <c r="H15" s="17">
        <f>1956.3+2713.8</f>
        <v>4670.1</v>
      </c>
      <c r="I15" s="17">
        <v>0</v>
      </c>
      <c r="J15" s="17">
        <f t="shared" si="4"/>
        <v>12301.8</v>
      </c>
      <c r="K15" s="17">
        <f t="shared" si="5"/>
        <v>99.82864169108413</v>
      </c>
      <c r="L15" s="17">
        <f t="shared" si="0"/>
        <v>176.59671015314805</v>
      </c>
      <c r="M15" s="39" t="e">
        <f t="shared" si="0"/>
        <v>#DIV/0!</v>
      </c>
      <c r="N15" s="17">
        <f t="shared" si="0"/>
        <v>119.55915368392407</v>
      </c>
      <c r="O15" s="18">
        <f t="shared" si="1"/>
        <v>40.2999396830619</v>
      </c>
      <c r="P15" s="11">
        <f t="shared" si="2"/>
        <v>32.774036104776314</v>
      </c>
    </row>
    <row r="16" spans="1:16" ht="12.75">
      <c r="A16" s="27">
        <v>1000</v>
      </c>
      <c r="B16" s="16" t="s">
        <v>29</v>
      </c>
      <c r="C16" s="17">
        <f>399.2</f>
        <v>399.2</v>
      </c>
      <c r="D16" s="17">
        <v>0</v>
      </c>
      <c r="E16" s="17">
        <v>0</v>
      </c>
      <c r="F16" s="17">
        <f t="shared" si="3"/>
        <v>399.2</v>
      </c>
      <c r="G16" s="17">
        <v>420.7</v>
      </c>
      <c r="H16" s="17"/>
      <c r="I16" s="17">
        <v>0</v>
      </c>
      <c r="J16" s="17">
        <f t="shared" si="4"/>
        <v>420.7</v>
      </c>
      <c r="K16" s="17">
        <f t="shared" si="5"/>
        <v>105.38577154308616</v>
      </c>
      <c r="L16" s="19" t="e">
        <f t="shared" si="0"/>
        <v>#DIV/0!</v>
      </c>
      <c r="M16" s="39" t="e">
        <f t="shared" si="0"/>
        <v>#DIV/0!</v>
      </c>
      <c r="N16" s="17">
        <f t="shared" si="0"/>
        <v>105.38577154308616</v>
      </c>
      <c r="O16" s="18">
        <f t="shared" si="1"/>
        <v>1.563540369264995</v>
      </c>
      <c r="P16" s="11">
        <f t="shared" si="2"/>
        <v>1.1208145953664828</v>
      </c>
    </row>
    <row r="17" spans="1:16" ht="15.75" customHeight="1">
      <c r="A17" s="27">
        <v>1100</v>
      </c>
      <c r="B17" s="20" t="s">
        <v>24</v>
      </c>
      <c r="C17" s="17">
        <v>158.4</v>
      </c>
      <c r="D17" s="17">
        <v>0</v>
      </c>
      <c r="E17" s="17">
        <v>0</v>
      </c>
      <c r="F17" s="17">
        <f t="shared" si="3"/>
        <v>158.4</v>
      </c>
      <c r="G17" s="17">
        <v>0</v>
      </c>
      <c r="H17" s="17">
        <v>0</v>
      </c>
      <c r="I17" s="17">
        <v>0</v>
      </c>
      <c r="J17" s="17">
        <f t="shared" si="4"/>
        <v>0</v>
      </c>
      <c r="K17" s="37">
        <f t="shared" si="5"/>
        <v>0</v>
      </c>
      <c r="L17" s="19" t="e">
        <f t="shared" si="0"/>
        <v>#DIV/0!</v>
      </c>
      <c r="M17" s="39" t="e">
        <f t="shared" si="0"/>
        <v>#DIV/0!</v>
      </c>
      <c r="N17" s="17">
        <f t="shared" si="0"/>
        <v>0</v>
      </c>
      <c r="O17" s="18">
        <f t="shared" si="1"/>
        <v>0.6204027918125632</v>
      </c>
      <c r="P17" s="11">
        <f t="shared" si="2"/>
        <v>0</v>
      </c>
    </row>
    <row r="18" spans="1:16" ht="13.5" thickBot="1">
      <c r="A18" s="42">
        <v>1300</v>
      </c>
      <c r="B18" s="43" t="s">
        <v>22</v>
      </c>
      <c r="C18" s="44">
        <v>1</v>
      </c>
      <c r="D18" s="44">
        <v>0</v>
      </c>
      <c r="E18" s="44">
        <v>0</v>
      </c>
      <c r="F18" s="44">
        <f t="shared" si="3"/>
        <v>1</v>
      </c>
      <c r="G18" s="44">
        <v>1</v>
      </c>
      <c r="H18" s="44">
        <v>0</v>
      </c>
      <c r="I18" s="44">
        <v>0</v>
      </c>
      <c r="J18" s="44">
        <f t="shared" si="4"/>
        <v>1</v>
      </c>
      <c r="K18" s="44">
        <f t="shared" si="5"/>
        <v>100</v>
      </c>
      <c r="L18" s="45" t="e">
        <f t="shared" si="0"/>
        <v>#DIV/0!</v>
      </c>
      <c r="M18" s="46" t="e">
        <f t="shared" si="0"/>
        <v>#DIV/0!</v>
      </c>
      <c r="N18" s="44">
        <f t="shared" si="0"/>
        <v>100</v>
      </c>
      <c r="O18" s="47">
        <f t="shared" si="1"/>
        <v>0.003916684291745979</v>
      </c>
      <c r="P18" s="48">
        <f t="shared" si="2"/>
        <v>0.002664165902939108</v>
      </c>
    </row>
    <row r="19" spans="1:16" ht="13.5" thickBot="1">
      <c r="A19" s="49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1"/>
      <c r="O19" s="53"/>
      <c r="P19" s="54"/>
    </row>
    <row r="20" spans="1:16" ht="13.5" thickBot="1">
      <c r="A20" s="66" t="s">
        <v>7</v>
      </c>
      <c r="B20" s="67"/>
      <c r="C20" s="35">
        <f>SUM(C9:C18)</f>
        <v>21427.3</v>
      </c>
      <c r="D20" s="35">
        <f aca="true" t="shared" si="6" ref="D20:J20">SUM(D9:D18)</f>
        <v>3819.6000000000004</v>
      </c>
      <c r="E20" s="35">
        <f t="shared" si="6"/>
        <v>284.9</v>
      </c>
      <c r="F20" s="35">
        <f t="shared" si="6"/>
        <v>25531.8</v>
      </c>
      <c r="G20" s="35">
        <f t="shared" si="6"/>
        <v>24387.8</v>
      </c>
      <c r="H20" s="35">
        <f t="shared" si="6"/>
        <v>12872.300000000001</v>
      </c>
      <c r="I20" s="35">
        <f t="shared" si="6"/>
        <v>275.1</v>
      </c>
      <c r="J20" s="35">
        <f t="shared" si="6"/>
        <v>37535.2</v>
      </c>
      <c r="K20" s="35">
        <f>G20/C20*100</f>
        <v>113.81648644486239</v>
      </c>
      <c r="L20" s="35">
        <f>H20/D20*100</f>
        <v>337.006492826474</v>
      </c>
      <c r="M20" s="38">
        <f>I20/E20*100</f>
        <v>96.56019656019657</v>
      </c>
      <c r="N20" s="35">
        <f>J20/F20*100</f>
        <v>147.01352822754367</v>
      </c>
      <c r="O20" s="36">
        <f>F20/$F$20*100</f>
        <v>100</v>
      </c>
      <c r="P20" s="12">
        <f>J20/$J$20*100</f>
        <v>100</v>
      </c>
    </row>
    <row r="33" spans="1:5" ht="12.75">
      <c r="A33" s="5"/>
      <c r="B33" s="5"/>
      <c r="C33" s="6"/>
      <c r="D33" s="6"/>
      <c r="E33" s="6"/>
    </row>
    <row r="34" spans="1:5" ht="12.75">
      <c r="A34" s="5"/>
      <c r="B34" s="5"/>
      <c r="C34" s="6"/>
      <c r="D34" s="6"/>
      <c r="E34" s="6"/>
    </row>
  </sheetData>
  <sheetProtection/>
  <mergeCells count="20"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Рулёва Татьяна Ю.</cp:lastModifiedBy>
  <cp:lastPrinted>2020-10-30T12:11:29Z</cp:lastPrinted>
  <dcterms:created xsi:type="dcterms:W3CDTF">2006-11-15T13:48:52Z</dcterms:created>
  <dcterms:modified xsi:type="dcterms:W3CDTF">2020-11-02T05:43:13Z</dcterms:modified>
  <cp:category/>
  <cp:version/>
  <cp:contentType/>
  <cp:contentStatus/>
</cp:coreProperties>
</file>